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ngineering\03 Land Development\02 Water Capacity and Impact Fees\"/>
    </mc:Choice>
  </mc:AlternateContent>
  <xr:revisionPtr revIDLastSave="0" documentId="8_{AEAA826B-D919-4938-A2D0-F1F5C4D763D3}" xr6:coauthVersionLast="45" xr6:coauthVersionMax="45" xr10:uidLastSave="{00000000-0000-0000-0000-000000000000}"/>
  <workbookProtection workbookAlgorithmName="SHA-512" workbookHashValue="czblN926NX6ymBQUck5G0BmUXIdH78Y48pm2AyTehCTferMnuf5c0s7dO/dT87HWnkRnwolzNUXB2X80Q8BHFA==" workbookSaltValue="VzjUNehVyHah8l7wMwQuGw==" workbookSpinCount="100000" lockStructure="1"/>
  <bookViews>
    <workbookView xWindow="-120" yWindow="-120" windowWidth="29040" windowHeight="15840" xr2:uid="{00000000-000D-0000-FFFF-FFFF00000000}"/>
  </bookViews>
  <sheets>
    <sheet name="Cover Page" sheetId="3" r:id="rId1"/>
    <sheet name="Water Capacity" sheetId="1" r:id="rId2"/>
    <sheet name="Impact Fees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3" l="1"/>
  <c r="C7" i="3"/>
  <c r="C8" i="3"/>
  <c r="C9" i="3"/>
  <c r="C6" i="3"/>
  <c r="D12" i="2" l="1"/>
  <c r="B8" i="3" s="1"/>
  <c r="E16" i="2"/>
  <c r="B9" i="3" s="1"/>
  <c r="C16" i="2"/>
  <c r="C12" i="2"/>
  <c r="D8" i="2"/>
  <c r="B7" i="3" s="1"/>
  <c r="C8" i="2"/>
  <c r="D4" i="2" l="1"/>
  <c r="B6" i="3" s="1"/>
  <c r="C4" i="2"/>
  <c r="C17" i="1"/>
  <c r="B11" i="1"/>
  <c r="B5" i="1"/>
  <c r="B5" i="3" l="1"/>
  <c r="C5" i="3" s="1"/>
  <c r="B10" i="3" l="1"/>
</calcChain>
</file>

<file path=xl/sharedStrings.xml><?xml version="1.0" encoding="utf-8"?>
<sst xmlns="http://schemas.openxmlformats.org/spreadsheetml/2006/main" count="109" uniqueCount="60">
  <si>
    <t>Residential</t>
  </si>
  <si>
    <t>Proposed</t>
  </si>
  <si>
    <t>Existing</t>
  </si>
  <si>
    <t>Water Capacity Fee ($)</t>
  </si>
  <si>
    <t>Type:</t>
  </si>
  <si>
    <t>Number of Units:</t>
  </si>
  <si>
    <t>Variables</t>
  </si>
  <si>
    <t>No Existing Building</t>
  </si>
  <si>
    <t>Single Family Home</t>
  </si>
  <si>
    <t>MultiFamily</t>
  </si>
  <si>
    <t>ADU</t>
  </si>
  <si>
    <t>Non-Residential (Up to 2 Inch)</t>
  </si>
  <si>
    <t>New Meter Size (Inch)</t>
  </si>
  <si>
    <t>Existing Meter Size (Inch)</t>
  </si>
  <si>
    <t>No Existing Meter</t>
  </si>
  <si>
    <t>Size:</t>
  </si>
  <si>
    <t>0.75 Inch</t>
  </si>
  <si>
    <t>1 Inch</t>
  </si>
  <si>
    <t>1.5 Inch</t>
  </si>
  <si>
    <t>2 Inch</t>
  </si>
  <si>
    <t>Non-Residential (Greater than 2 Inch)</t>
  </si>
  <si>
    <t>Expected Consumption (GPD)</t>
  </si>
  <si>
    <t>Existing Consumption (GPD)</t>
  </si>
  <si>
    <t>WATER CAPACITY FEE CALCULATOR</t>
  </si>
  <si>
    <t>1 gpd</t>
  </si>
  <si>
    <t>Land Use Category</t>
  </si>
  <si>
    <t>Quantity</t>
  </si>
  <si>
    <t>Unit</t>
  </si>
  <si>
    <t>Impact Fee</t>
  </si>
  <si>
    <t>Detached Accessory Dwelling Unit</t>
  </si>
  <si>
    <t>Single-family/Townhouse</t>
  </si>
  <si>
    <t>Multi-family Housing</t>
  </si>
  <si>
    <t>Office/Research &amp; Development</t>
  </si>
  <si>
    <t>Industrial</t>
  </si>
  <si>
    <t>Retail</t>
  </si>
  <si>
    <t>Dwelling Unit</t>
  </si>
  <si>
    <t>Square Foot</t>
  </si>
  <si>
    <t>Within RBD?</t>
  </si>
  <si>
    <t>All other residential/non-residential land uses</t>
  </si>
  <si>
    <t>Impervious Acre</t>
  </si>
  <si>
    <t>Y</t>
  </si>
  <si>
    <t>N</t>
  </si>
  <si>
    <t>Water Capacity and Impact Fee Summary</t>
  </si>
  <si>
    <t>Fee</t>
  </si>
  <si>
    <t>Value</t>
  </si>
  <si>
    <t>Water Capacity</t>
  </si>
  <si>
    <t>Parks and Trails Impact</t>
  </si>
  <si>
    <t>Public Facilities Impact</t>
  </si>
  <si>
    <t>Transportation Infrastrucure Impact</t>
  </si>
  <si>
    <t>Storm Drainage Impact</t>
  </si>
  <si>
    <t>Total</t>
  </si>
  <si>
    <t>IMPACT FEE CALCULATOR</t>
  </si>
  <si>
    <t>Parks and Trails Impact Fee</t>
  </si>
  <si>
    <t>Public Facilities Impact Fee</t>
  </si>
  <si>
    <t>Transportation Infrastructure Impact Fee</t>
  </si>
  <si>
    <t>Storm Drainage Impact Fee</t>
  </si>
  <si>
    <t>ADU Value</t>
  </si>
  <si>
    <t>Square Feet of Existing Home (sqft)</t>
  </si>
  <si>
    <t>Square Feet of Proposed ADU (sqft)</t>
  </si>
  <si>
    <t>Address: Sample Detached 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</si>
</sst>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1" xfId="0" applyBorder="1"/>
    <xf numFmtId="165" fontId="0" fillId="0" borderId="0" xfId="0" applyNumberFormat="1"/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3" borderId="0" xfId="0" applyFill="1"/>
    <xf numFmtId="165" fontId="0" fillId="0" borderId="8" xfId="0" applyNumberFormat="1" applyBorder="1" applyAlignment="1">
      <alignment horizontal="center"/>
    </xf>
    <xf numFmtId="0" fontId="0" fillId="3" borderId="0" xfId="0" applyFill="1" applyBorder="1"/>
    <xf numFmtId="165" fontId="0" fillId="3" borderId="0" xfId="0" applyNumberFormat="1" applyFill="1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7" xfId="0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2" fillId="0" borderId="19" xfId="0" applyFont="1" applyBorder="1"/>
    <xf numFmtId="0" fontId="2" fillId="0" borderId="20" xfId="0" applyFont="1" applyBorder="1"/>
    <xf numFmtId="0" fontId="3" fillId="0" borderId="9" xfId="0" applyFont="1" applyBorder="1"/>
    <xf numFmtId="165" fontId="3" fillId="0" borderId="11" xfId="0" applyNumberFormat="1" applyFont="1" applyBorder="1"/>
    <xf numFmtId="0" fontId="3" fillId="0" borderId="21" xfId="0" applyFont="1" applyBorder="1"/>
    <xf numFmtId="165" fontId="3" fillId="0" borderId="22" xfId="0" applyNumberFormat="1" applyFont="1" applyBorder="1"/>
    <xf numFmtId="0" fontId="3" fillId="0" borderId="23" xfId="0" applyFont="1" applyBorder="1"/>
    <xf numFmtId="165" fontId="3" fillId="0" borderId="24" xfId="0" applyNumberFormat="1" applyFont="1" applyBorder="1"/>
    <xf numFmtId="0" fontId="2" fillId="0" borderId="25" xfId="0" applyFont="1" applyBorder="1"/>
    <xf numFmtId="165" fontId="2" fillId="0" borderId="26" xfId="0" applyNumberFormat="1" applyFont="1" applyBorder="1"/>
    <xf numFmtId="0" fontId="3" fillId="0" borderId="27" xfId="0" applyFont="1" applyBorder="1"/>
    <xf numFmtId="0" fontId="3" fillId="0" borderId="6" xfId="0" applyFont="1" applyFill="1" applyBorder="1"/>
    <xf numFmtId="165" fontId="2" fillId="0" borderId="28" xfId="0" applyNumberFormat="1" applyFont="1" applyBorder="1"/>
    <xf numFmtId="2" fontId="0" fillId="0" borderId="0" xfId="0" applyNumberFormat="1"/>
    <xf numFmtId="2" fontId="3" fillId="0" borderId="16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5" fontId="1" fillId="0" borderId="2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165" fontId="0" fillId="0" borderId="15" xfId="0" applyNumberFormat="1" applyBorder="1" applyAlignment="1" applyProtection="1">
      <alignment horizontal="center"/>
    </xf>
    <xf numFmtId="165" fontId="0" fillId="0" borderId="18" xfId="0" applyNumberFormat="1" applyBorder="1" applyAlignment="1" applyProtection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2"/>
  <sheetViews>
    <sheetView tabSelected="1" view="pageBreakPreview" zoomScale="140" zoomScaleNormal="100" zoomScaleSheetLayoutView="140" workbookViewId="0">
      <selection activeCell="B11" sqref="B11:C11"/>
    </sheetView>
  </sheetViews>
  <sheetFormatPr defaultRowHeight="15" x14ac:dyDescent="0.25"/>
  <cols>
    <col min="1" max="1" width="42.140625" customWidth="1"/>
    <col min="2" max="3" width="16.28515625" customWidth="1"/>
  </cols>
  <sheetData>
    <row r="1" spans="1:3" ht="19.5" thickBot="1" x14ac:dyDescent="0.35">
      <c r="A1" s="35" t="s">
        <v>42</v>
      </c>
      <c r="B1" s="36"/>
      <c r="C1" s="37"/>
    </row>
    <row r="2" spans="1:3" ht="19.5" thickBot="1" x14ac:dyDescent="0.35">
      <c r="A2" s="38" t="s">
        <v>59</v>
      </c>
      <c r="B2" s="39"/>
      <c r="C2" s="40"/>
    </row>
    <row r="3" spans="1:3" ht="19.5" thickBot="1" x14ac:dyDescent="0.35">
      <c r="A3" s="41"/>
      <c r="B3" s="42"/>
      <c r="C3" s="43"/>
    </row>
    <row r="4" spans="1:3" ht="19.5" thickBot="1" x14ac:dyDescent="0.35">
      <c r="A4" s="17" t="s">
        <v>43</v>
      </c>
      <c r="B4" s="18" t="s">
        <v>44</v>
      </c>
      <c r="C4" s="18" t="s">
        <v>56</v>
      </c>
    </row>
    <row r="5" spans="1:3" ht="18.75" x14ac:dyDescent="0.3">
      <c r="A5" s="19" t="s">
        <v>45</v>
      </c>
      <c r="B5" s="20" t="str">
        <f>IF('Water Capacity'!B5=0,IF('Water Capacity'!B11=0,IF('Water Capacity'!C17=0,"",'Water Capacity'!C17),'Water Capacity'!B11),'Water Capacity'!B5)</f>
        <v/>
      </c>
      <c r="C5" s="20" t="str">
        <f>B5</f>
        <v/>
      </c>
    </row>
    <row r="6" spans="1:3" ht="18.75" x14ac:dyDescent="0.3">
      <c r="A6" s="21" t="s">
        <v>46</v>
      </c>
      <c r="B6" s="22" t="str">
        <f>'Impact Fees'!D4</f>
        <v/>
      </c>
      <c r="C6" s="22" t="str">
        <f>IFERROR(IF(($B$12/$B$11)&gt;1,B6,B6*($B$12/$B$11)),"")</f>
        <v/>
      </c>
    </row>
    <row r="7" spans="1:3" ht="18.75" x14ac:dyDescent="0.3">
      <c r="A7" s="21" t="s">
        <v>47</v>
      </c>
      <c r="B7" s="22" t="str">
        <f>'Impact Fees'!D8</f>
        <v/>
      </c>
      <c r="C7" s="22" t="str">
        <f t="shared" ref="C7:C9" si="0">IFERROR(IF(($B$12/$B$11)&gt;1,B7,B7*($B$12/$B$11)),"")</f>
        <v/>
      </c>
    </row>
    <row r="8" spans="1:3" ht="18.75" x14ac:dyDescent="0.3">
      <c r="A8" s="21" t="s">
        <v>48</v>
      </c>
      <c r="B8" s="22" t="str">
        <f>'Impact Fees'!D12</f>
        <v/>
      </c>
      <c r="C8" s="22" t="str">
        <f t="shared" si="0"/>
        <v/>
      </c>
    </row>
    <row r="9" spans="1:3" ht="19.5" thickBot="1" x14ac:dyDescent="0.35">
      <c r="A9" s="23" t="s">
        <v>49</v>
      </c>
      <c r="B9" s="24" t="str">
        <f>'Impact Fees'!E16</f>
        <v/>
      </c>
      <c r="C9" s="22" t="str">
        <f t="shared" si="0"/>
        <v/>
      </c>
    </row>
    <row r="10" spans="1:3" ht="19.5" thickBot="1" x14ac:dyDescent="0.35">
      <c r="A10" s="25" t="s">
        <v>50</v>
      </c>
      <c r="B10" s="26">
        <f>SUM(B5:B9)</f>
        <v>0</v>
      </c>
      <c r="C10" s="29" t="str">
        <f>IFERROR(IF(($B$12/$B$11)&gt;1,B10,B10*($B$12/$B$11)),"")</f>
        <v/>
      </c>
    </row>
    <row r="11" spans="1:3" ht="18.75" x14ac:dyDescent="0.3">
      <c r="A11" s="27" t="s">
        <v>57</v>
      </c>
      <c r="B11" s="31"/>
      <c r="C11" s="32"/>
    </row>
    <row r="12" spans="1:3" ht="19.5" thickBot="1" x14ac:dyDescent="0.35">
      <c r="A12" s="28" t="s">
        <v>58</v>
      </c>
      <c r="B12" s="33"/>
      <c r="C12" s="34"/>
    </row>
  </sheetData>
  <sheetProtection selectLockedCells="1"/>
  <mergeCells count="5">
    <mergeCell ref="B11:C11"/>
    <mergeCell ref="B12:C12"/>
    <mergeCell ref="A1:C1"/>
    <mergeCell ref="A2:C2"/>
    <mergeCell ref="A3:C3"/>
  </mergeCells>
  <printOptions horizont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7"/>
  <sheetViews>
    <sheetView view="pageBreakPreview" zoomScale="150" zoomScaleNormal="100" zoomScaleSheetLayoutView="150" workbookViewId="0">
      <selection activeCell="A8" sqref="A8:E8"/>
    </sheetView>
  </sheetViews>
  <sheetFormatPr defaultRowHeight="15" x14ac:dyDescent="0.25"/>
  <cols>
    <col min="1" max="1" width="23.5703125" customWidth="1"/>
    <col min="2" max="2" width="6.140625" customWidth="1"/>
    <col min="3" max="3" width="19.42578125" customWidth="1"/>
    <col min="4" max="4" width="16" customWidth="1"/>
    <col min="5" max="5" width="5.28515625" customWidth="1"/>
    <col min="9" max="10" width="0" hidden="1" customWidth="1"/>
    <col min="11" max="11" width="10.140625" style="2" hidden="1" customWidth="1"/>
    <col min="12" max="12" width="0" hidden="1" customWidth="1"/>
  </cols>
  <sheetData>
    <row r="1" spans="1:11" x14ac:dyDescent="0.25">
      <c r="A1" s="50" t="s">
        <v>23</v>
      </c>
      <c r="B1" s="50"/>
      <c r="C1" s="50"/>
      <c r="D1" s="50"/>
      <c r="E1" s="50"/>
    </row>
    <row r="2" spans="1:11" x14ac:dyDescent="0.25">
      <c r="A2" s="44" t="s">
        <v>0</v>
      </c>
      <c r="B2" s="45"/>
      <c r="C2" s="45"/>
      <c r="D2" s="45"/>
      <c r="E2" s="46"/>
    </row>
    <row r="3" spans="1:11" x14ac:dyDescent="0.25">
      <c r="A3" s="1" t="s">
        <v>1</v>
      </c>
      <c r="B3" s="4" t="s">
        <v>4</v>
      </c>
      <c r="C3" s="12"/>
      <c r="D3" s="4" t="s">
        <v>5</v>
      </c>
      <c r="E3" s="12"/>
      <c r="J3" t="s">
        <v>6</v>
      </c>
    </row>
    <row r="4" spans="1:11" x14ac:dyDescent="0.25">
      <c r="A4" s="1" t="s">
        <v>2</v>
      </c>
      <c r="B4" s="4" t="s">
        <v>4</v>
      </c>
      <c r="C4" s="12"/>
      <c r="D4" s="4" t="s">
        <v>5</v>
      </c>
      <c r="E4" s="12"/>
      <c r="J4" t="s">
        <v>7</v>
      </c>
      <c r="K4" s="2">
        <v>0</v>
      </c>
    </row>
    <row r="5" spans="1:11" x14ac:dyDescent="0.25">
      <c r="A5" s="3" t="s">
        <v>3</v>
      </c>
      <c r="B5" s="47">
        <f>IF(C3=J4,K4,IF(C3=J5,K5,IF(C3=J6,K6,IF(C3=J7,K7,0))))*E3-IF(C4=J4,K4,IF(C4=J5,K5,IF(C4=J6,K6,IF(C4=J7,K7,0))))*E4</f>
        <v>0</v>
      </c>
      <c r="C5" s="48"/>
      <c r="D5" s="48"/>
      <c r="E5" s="49"/>
      <c r="J5" t="s">
        <v>8</v>
      </c>
      <c r="K5" s="2">
        <v>8147</v>
      </c>
    </row>
    <row r="6" spans="1:11" x14ac:dyDescent="0.25">
      <c r="J6" t="s">
        <v>9</v>
      </c>
      <c r="K6" s="2">
        <v>5014</v>
      </c>
    </row>
    <row r="7" spans="1:11" x14ac:dyDescent="0.25">
      <c r="J7" t="s">
        <v>10</v>
      </c>
      <c r="K7" s="2">
        <v>5014</v>
      </c>
    </row>
    <row r="8" spans="1:11" x14ac:dyDescent="0.25">
      <c r="A8" s="44" t="s">
        <v>11</v>
      </c>
      <c r="B8" s="45"/>
      <c r="C8" s="45"/>
      <c r="D8" s="45"/>
      <c r="E8" s="46"/>
    </row>
    <row r="9" spans="1:11" x14ac:dyDescent="0.25">
      <c r="A9" s="1" t="s">
        <v>12</v>
      </c>
      <c r="B9" s="4" t="s">
        <v>15</v>
      </c>
      <c r="C9" s="51"/>
      <c r="D9" s="52"/>
      <c r="E9" s="53"/>
    </row>
    <row r="10" spans="1:11" x14ac:dyDescent="0.25">
      <c r="A10" s="1" t="s">
        <v>13</v>
      </c>
      <c r="B10" s="4" t="s">
        <v>15</v>
      </c>
      <c r="C10" s="51"/>
      <c r="D10" s="52"/>
      <c r="E10" s="53"/>
      <c r="J10" t="s">
        <v>14</v>
      </c>
      <c r="K10" s="2">
        <v>0</v>
      </c>
    </row>
    <row r="11" spans="1:11" x14ac:dyDescent="0.25">
      <c r="A11" s="3" t="s">
        <v>3</v>
      </c>
      <c r="B11" s="47">
        <f>IF(C9=J10,K10,IF(C9=J11,K11,IF(C9=J12,K12,IF(C9=J13,K13,IF(C9=J14,K14,0)))))-IF(C10=J10,K10,IF(C10=J11,K11,IF(C10=J12,K12,IF(C10=J13,K13,IF(C10=J14,K14,0)))))</f>
        <v>0</v>
      </c>
      <c r="C11" s="48"/>
      <c r="D11" s="48"/>
      <c r="E11" s="49"/>
      <c r="J11" t="s">
        <v>16</v>
      </c>
      <c r="K11" s="2">
        <v>11907</v>
      </c>
    </row>
    <row r="12" spans="1:11" x14ac:dyDescent="0.25">
      <c r="J12" t="s">
        <v>17</v>
      </c>
      <c r="K12" s="2">
        <v>19845</v>
      </c>
    </row>
    <row r="13" spans="1:11" x14ac:dyDescent="0.25">
      <c r="J13" t="s">
        <v>18</v>
      </c>
      <c r="K13" s="2">
        <v>39691</v>
      </c>
    </row>
    <row r="14" spans="1:11" x14ac:dyDescent="0.25">
      <c r="A14" s="44" t="s">
        <v>20</v>
      </c>
      <c r="B14" s="45"/>
      <c r="C14" s="45"/>
      <c r="D14" s="45"/>
      <c r="E14" s="46"/>
      <c r="J14" t="s">
        <v>19</v>
      </c>
      <c r="K14" s="2">
        <v>63505</v>
      </c>
    </row>
    <row r="15" spans="1:11" x14ac:dyDescent="0.25">
      <c r="A15" s="54" t="s">
        <v>21</v>
      </c>
      <c r="B15" s="54"/>
      <c r="C15" s="51"/>
      <c r="D15" s="52"/>
      <c r="E15" s="53"/>
    </row>
    <row r="16" spans="1:11" x14ac:dyDescent="0.25">
      <c r="A16" s="54" t="s">
        <v>22</v>
      </c>
      <c r="B16" s="54"/>
      <c r="C16" s="51"/>
      <c r="D16" s="52"/>
      <c r="E16" s="53"/>
    </row>
    <row r="17" spans="1:11" x14ac:dyDescent="0.25">
      <c r="A17" s="55" t="s">
        <v>3</v>
      </c>
      <c r="B17" s="55"/>
      <c r="C17" s="56">
        <f>31.33*(C15-C16)</f>
        <v>0</v>
      </c>
      <c r="D17" s="57"/>
      <c r="E17" s="58"/>
      <c r="J17" t="s">
        <v>24</v>
      </c>
      <c r="K17" s="2">
        <v>31.33</v>
      </c>
    </row>
  </sheetData>
  <sheetProtection selectLockedCells="1"/>
  <mergeCells count="14">
    <mergeCell ref="A15:B15"/>
    <mergeCell ref="A16:B16"/>
    <mergeCell ref="A17:B17"/>
    <mergeCell ref="A14:E14"/>
    <mergeCell ref="C15:E15"/>
    <mergeCell ref="C16:E16"/>
    <mergeCell ref="C17:E17"/>
    <mergeCell ref="A2:E2"/>
    <mergeCell ref="B5:E5"/>
    <mergeCell ref="A1:E1"/>
    <mergeCell ref="A8:E8"/>
    <mergeCell ref="B11:E11"/>
    <mergeCell ref="C9:E9"/>
    <mergeCell ref="C10:E10"/>
  </mergeCells>
  <dataValidations count="2">
    <dataValidation type="list" allowBlank="1" showInputMessage="1" showErrorMessage="1" sqref="C3:C4" xr:uid="{00000000-0002-0000-0100-000000000000}">
      <formula1>$J$4:$J$7</formula1>
    </dataValidation>
    <dataValidation type="list" allowBlank="1" showInputMessage="1" showErrorMessage="1" sqref="C9:C10" xr:uid="{00000000-0002-0000-0100-000001000000}">
      <formula1>$J$10:$J$14</formula1>
    </dataValidation>
  </dataValidations>
  <printOptions horizontalCentered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0"/>
  <sheetViews>
    <sheetView view="pageBreakPreview" zoomScale="150" zoomScaleNormal="100" zoomScaleSheetLayoutView="150" workbookViewId="0">
      <selection activeCell="A21" sqref="A21"/>
    </sheetView>
  </sheetViews>
  <sheetFormatPr defaultRowHeight="15" x14ac:dyDescent="0.25"/>
  <cols>
    <col min="1" max="1" width="31.7109375" customWidth="1"/>
    <col min="2" max="2" width="11.42578125" customWidth="1"/>
    <col min="3" max="3" width="12.42578125" customWidth="1"/>
    <col min="4" max="4" width="11.85546875" customWidth="1"/>
    <col min="5" max="5" width="15.7109375" customWidth="1"/>
    <col min="10" max="10" width="11.5703125" bestFit="1" customWidth="1"/>
    <col min="14" max="14" width="9" customWidth="1"/>
    <col min="15" max="15" width="19.42578125" hidden="1" customWidth="1"/>
    <col min="16" max="16" width="15.7109375" hidden="1" customWidth="1"/>
    <col min="17" max="17" width="14.28515625" hidden="1" customWidth="1"/>
    <col min="18" max="20" width="9" hidden="1" customWidth="1"/>
    <col min="21" max="21" width="9" customWidth="1"/>
  </cols>
  <sheetData>
    <row r="1" spans="1:18" ht="15.75" thickBot="1" x14ac:dyDescent="0.3">
      <c r="A1" s="59" t="s">
        <v>51</v>
      </c>
      <c r="B1" s="60"/>
      <c r="C1" s="60"/>
      <c r="D1" s="60"/>
      <c r="E1" s="61"/>
    </row>
    <row r="2" spans="1:18" ht="15.75" thickBot="1" x14ac:dyDescent="0.3">
      <c r="A2" s="66" t="s">
        <v>52</v>
      </c>
      <c r="B2" s="67"/>
      <c r="C2" s="67"/>
      <c r="D2" s="67"/>
      <c r="E2" s="68"/>
    </row>
    <row r="3" spans="1:18" x14ac:dyDescent="0.25">
      <c r="A3" s="5" t="s">
        <v>25</v>
      </c>
      <c r="B3" s="6" t="s">
        <v>26</v>
      </c>
      <c r="C3" s="6" t="s">
        <v>27</v>
      </c>
      <c r="D3" s="62" t="s">
        <v>28</v>
      </c>
      <c r="E3" s="63"/>
    </row>
    <row r="4" spans="1:18" ht="15.75" thickBot="1" x14ac:dyDescent="0.3">
      <c r="A4" s="16"/>
      <c r="B4" s="15"/>
      <c r="C4" s="13" t="str">
        <f>IF(A4="","",VLOOKUP(A4,O4:P9,2,FALSE))</f>
        <v/>
      </c>
      <c r="D4" s="64" t="str">
        <f>IF(A4="","",B4*VLOOKUP(A4,O4:Q9,3,FALSE))</f>
        <v/>
      </c>
      <c r="E4" s="65"/>
      <c r="J4" s="30"/>
      <c r="O4" t="s">
        <v>29</v>
      </c>
      <c r="P4" t="s">
        <v>35</v>
      </c>
      <c r="Q4" s="30">
        <v>1679.45</v>
      </c>
      <c r="R4" s="30"/>
    </row>
    <row r="5" spans="1:18" ht="15.75" thickBot="1" x14ac:dyDescent="0.3">
      <c r="A5" s="8"/>
      <c r="B5" s="8"/>
      <c r="C5" s="8"/>
      <c r="D5" s="8"/>
      <c r="E5" s="8"/>
      <c r="J5" s="30"/>
      <c r="O5" t="s">
        <v>30</v>
      </c>
      <c r="P5" t="s">
        <v>35</v>
      </c>
      <c r="Q5" s="30">
        <v>4199.13</v>
      </c>
      <c r="R5" s="30"/>
    </row>
    <row r="6" spans="1:18" ht="15.75" thickBot="1" x14ac:dyDescent="0.3">
      <c r="A6" s="69" t="s">
        <v>53</v>
      </c>
      <c r="B6" s="70"/>
      <c r="C6" s="70"/>
      <c r="D6" s="70"/>
      <c r="E6" s="71"/>
      <c r="J6" s="30"/>
      <c r="O6" t="s">
        <v>31</v>
      </c>
      <c r="P6" t="s">
        <v>35</v>
      </c>
      <c r="Q6" s="30">
        <v>2892.55</v>
      </c>
      <c r="R6" s="30"/>
    </row>
    <row r="7" spans="1:18" x14ac:dyDescent="0.25">
      <c r="A7" s="5" t="s">
        <v>25</v>
      </c>
      <c r="B7" s="6" t="s">
        <v>26</v>
      </c>
      <c r="C7" s="6" t="s">
        <v>27</v>
      </c>
      <c r="D7" s="62" t="s">
        <v>28</v>
      </c>
      <c r="E7" s="63"/>
      <c r="J7" s="30"/>
      <c r="O7" t="s">
        <v>32</v>
      </c>
      <c r="P7" t="s">
        <v>36</v>
      </c>
      <c r="Q7" s="30">
        <v>1.1672499999999999</v>
      </c>
      <c r="R7" s="30"/>
    </row>
    <row r="8" spans="1:18" ht="15.75" thickBot="1" x14ac:dyDescent="0.3">
      <c r="A8" s="16"/>
      <c r="B8" s="15">
        <v>1</v>
      </c>
      <c r="C8" s="14" t="str">
        <f>IF(A8="","",VLOOKUP(A8,O12:P17,2,FALSE))</f>
        <v/>
      </c>
      <c r="D8" s="72" t="str">
        <f>IF(A8="","",B8*VLOOKUP(A8,O12:Q17,3,FALSE))</f>
        <v/>
      </c>
      <c r="E8" s="73"/>
      <c r="J8" s="30"/>
      <c r="O8" t="s">
        <v>33</v>
      </c>
      <c r="P8" t="s">
        <v>36</v>
      </c>
      <c r="Q8" s="30">
        <v>0.46690000000000004</v>
      </c>
      <c r="R8" s="30"/>
    </row>
    <row r="9" spans="1:18" ht="15.75" thickBot="1" x14ac:dyDescent="0.3">
      <c r="A9" s="8"/>
      <c r="B9" s="8"/>
      <c r="C9" s="8"/>
      <c r="D9" s="8"/>
      <c r="E9" s="8"/>
      <c r="J9" s="30"/>
      <c r="O9" t="s">
        <v>34</v>
      </c>
      <c r="P9" t="s">
        <v>36</v>
      </c>
      <c r="Q9" s="30">
        <v>0.78154999999999997</v>
      </c>
      <c r="R9" s="30"/>
    </row>
    <row r="10" spans="1:18" ht="15.75" thickBot="1" x14ac:dyDescent="0.3">
      <c r="A10" s="69" t="s">
        <v>54</v>
      </c>
      <c r="B10" s="70"/>
      <c r="C10" s="70"/>
      <c r="D10" s="70"/>
      <c r="E10" s="71"/>
      <c r="J10" s="30"/>
      <c r="Q10" s="30"/>
      <c r="R10" s="30"/>
    </row>
    <row r="11" spans="1:18" x14ac:dyDescent="0.25">
      <c r="A11" s="5" t="s">
        <v>25</v>
      </c>
      <c r="B11" s="6" t="s">
        <v>26</v>
      </c>
      <c r="C11" s="6" t="s">
        <v>27</v>
      </c>
      <c r="D11" s="62" t="s">
        <v>28</v>
      </c>
      <c r="E11" s="63"/>
      <c r="J11" s="30"/>
      <c r="Q11" s="30"/>
      <c r="R11" s="30"/>
    </row>
    <row r="12" spans="1:18" ht="15.75" thickBot="1" x14ac:dyDescent="0.3">
      <c r="A12" s="16"/>
      <c r="B12" s="15">
        <v>1</v>
      </c>
      <c r="C12" s="14" t="str">
        <f>IF(A12="","",VLOOKUP(A12,O20:P25,2,FALSE))</f>
        <v/>
      </c>
      <c r="D12" s="72" t="str">
        <f>IF(A12="","",B12*VLOOKUP(A12,O20:Q25,3,FALSE))</f>
        <v/>
      </c>
      <c r="E12" s="73"/>
      <c r="J12" s="30"/>
      <c r="O12" t="s">
        <v>29</v>
      </c>
      <c r="P12" t="s">
        <v>35</v>
      </c>
      <c r="Q12" s="30">
        <v>2945.38</v>
      </c>
      <c r="R12" s="30"/>
    </row>
    <row r="13" spans="1:18" ht="15.75" thickBot="1" x14ac:dyDescent="0.3">
      <c r="A13" s="10"/>
      <c r="B13" s="10"/>
      <c r="C13" s="10"/>
      <c r="D13" s="11"/>
      <c r="E13" s="11"/>
      <c r="J13" s="30"/>
      <c r="O13" t="s">
        <v>30</v>
      </c>
      <c r="P13" t="s">
        <v>35</v>
      </c>
      <c r="Q13" s="30">
        <v>7363.97</v>
      </c>
      <c r="R13" s="30"/>
    </row>
    <row r="14" spans="1:18" ht="15.75" thickBot="1" x14ac:dyDescent="0.3">
      <c r="A14" s="69" t="s">
        <v>55</v>
      </c>
      <c r="B14" s="70"/>
      <c r="C14" s="70"/>
      <c r="D14" s="70"/>
      <c r="E14" s="71"/>
      <c r="J14" s="30"/>
      <c r="O14" t="s">
        <v>31</v>
      </c>
      <c r="P14" t="s">
        <v>35</v>
      </c>
      <c r="Q14" s="30">
        <v>5072.8900000000003</v>
      </c>
      <c r="R14" s="30"/>
    </row>
    <row r="15" spans="1:18" x14ac:dyDescent="0.25">
      <c r="A15" s="5" t="s">
        <v>25</v>
      </c>
      <c r="B15" s="6" t="s">
        <v>26</v>
      </c>
      <c r="C15" s="6" t="s">
        <v>27</v>
      </c>
      <c r="D15" s="6" t="s">
        <v>37</v>
      </c>
      <c r="E15" s="7" t="s">
        <v>28</v>
      </c>
      <c r="J15" s="30"/>
      <c r="O15" t="s">
        <v>32</v>
      </c>
      <c r="P15" t="s">
        <v>36</v>
      </c>
      <c r="Q15" s="30">
        <v>2.0401499999999997</v>
      </c>
      <c r="R15" s="30"/>
    </row>
    <row r="16" spans="1:18" ht="15.75" thickBot="1" x14ac:dyDescent="0.3">
      <c r="A16" s="16"/>
      <c r="B16" s="15"/>
      <c r="C16" s="14" t="str">
        <f>IF(A16="","",VLOOKUP(A16,O28:P30,2,FALSE))</f>
        <v/>
      </c>
      <c r="D16" s="15"/>
      <c r="E16" s="9" t="str">
        <f>IF(D16="","",B16*IF(D16="Y",VLOOKUP(A16,O28:R30,3,FALSE),IF(D16="N",VLOOKUP(A16,O28:R30,4,FALSE))))</f>
        <v/>
      </c>
      <c r="J16" s="30"/>
      <c r="O16" t="s">
        <v>33</v>
      </c>
      <c r="P16" t="s">
        <v>36</v>
      </c>
      <c r="Q16" s="30">
        <v>0.82215000000000005</v>
      </c>
      <c r="R16" s="30"/>
    </row>
    <row r="17" spans="10:20" x14ac:dyDescent="0.25">
      <c r="J17" s="30"/>
      <c r="O17" t="s">
        <v>34</v>
      </c>
      <c r="P17" t="s">
        <v>36</v>
      </c>
      <c r="Q17" s="30">
        <v>1.3601000000000001</v>
      </c>
      <c r="R17" s="30"/>
    </row>
    <row r="18" spans="10:20" x14ac:dyDescent="0.25">
      <c r="J18" s="30"/>
      <c r="Q18" s="30"/>
      <c r="R18" s="30"/>
    </row>
    <row r="19" spans="10:20" x14ac:dyDescent="0.25">
      <c r="J19" s="30"/>
      <c r="Q19" s="30"/>
      <c r="R19" s="30"/>
    </row>
    <row r="20" spans="10:20" x14ac:dyDescent="0.25">
      <c r="J20" s="30"/>
      <c r="O20" t="s">
        <v>29</v>
      </c>
      <c r="P20" t="s">
        <v>35</v>
      </c>
      <c r="Q20" s="30">
        <v>958.09</v>
      </c>
      <c r="R20" s="30"/>
    </row>
    <row r="21" spans="10:20" x14ac:dyDescent="0.25">
      <c r="J21" s="30"/>
      <c r="O21" t="s">
        <v>30</v>
      </c>
      <c r="P21" t="s">
        <v>35</v>
      </c>
      <c r="Q21" s="30">
        <v>2395.73</v>
      </c>
      <c r="R21" s="30"/>
    </row>
    <row r="22" spans="10:20" x14ac:dyDescent="0.25">
      <c r="J22" s="30"/>
      <c r="O22" t="s">
        <v>31</v>
      </c>
      <c r="P22" t="s">
        <v>35</v>
      </c>
      <c r="Q22" s="30">
        <v>1803.4</v>
      </c>
      <c r="R22" s="30"/>
    </row>
    <row r="23" spans="10:20" x14ac:dyDescent="0.25">
      <c r="J23" s="30"/>
      <c r="O23" t="s">
        <v>32</v>
      </c>
      <c r="P23" t="s">
        <v>36</v>
      </c>
      <c r="Q23" s="30">
        <v>7.45</v>
      </c>
      <c r="R23" s="30"/>
    </row>
    <row r="24" spans="10:20" x14ac:dyDescent="0.25">
      <c r="J24" s="30"/>
      <c r="O24" t="s">
        <v>33</v>
      </c>
      <c r="P24" t="s">
        <v>36</v>
      </c>
      <c r="Q24" s="30">
        <v>4.8499999999999996</v>
      </c>
      <c r="R24" s="30"/>
    </row>
    <row r="25" spans="10:20" x14ac:dyDescent="0.25">
      <c r="J25" s="30"/>
      <c r="O25" t="s">
        <v>34</v>
      </c>
      <c r="P25" t="s">
        <v>36</v>
      </c>
      <c r="Q25" s="30">
        <v>7.45</v>
      </c>
      <c r="R25" s="30"/>
    </row>
    <row r="26" spans="10:20" x14ac:dyDescent="0.25">
      <c r="J26" s="30"/>
      <c r="Q26" s="30"/>
      <c r="R26" s="30"/>
    </row>
    <row r="27" spans="10:20" x14ac:dyDescent="0.25">
      <c r="J27" s="30"/>
      <c r="Q27" s="30"/>
      <c r="R27" s="30"/>
    </row>
    <row r="28" spans="10:20" x14ac:dyDescent="0.25">
      <c r="J28" s="30"/>
      <c r="K28" s="30"/>
      <c r="O28" t="s">
        <v>29</v>
      </c>
      <c r="P28" t="s">
        <v>35</v>
      </c>
      <c r="Q28" s="30">
        <v>1966.98</v>
      </c>
      <c r="R28" s="30">
        <v>1137.92</v>
      </c>
      <c r="T28" t="s">
        <v>40</v>
      </c>
    </row>
    <row r="29" spans="10:20" x14ac:dyDescent="0.25">
      <c r="J29" s="30"/>
      <c r="K29" s="30"/>
      <c r="O29" t="s">
        <v>30</v>
      </c>
      <c r="P29" t="s">
        <v>35</v>
      </c>
      <c r="Q29" s="30">
        <v>4917.4399999999996</v>
      </c>
      <c r="R29" s="30">
        <v>2844.8</v>
      </c>
      <c r="T29" t="s">
        <v>41</v>
      </c>
    </row>
    <row r="30" spans="10:20" x14ac:dyDescent="0.25">
      <c r="J30" s="30"/>
      <c r="K30" s="30"/>
      <c r="O30" t="s">
        <v>38</v>
      </c>
      <c r="P30" t="s">
        <v>39</v>
      </c>
      <c r="Q30" s="30">
        <v>122936</v>
      </c>
      <c r="R30" s="30">
        <v>71120</v>
      </c>
    </row>
  </sheetData>
  <sheetProtection selectLockedCells="1"/>
  <mergeCells count="11">
    <mergeCell ref="A10:E10"/>
    <mergeCell ref="A14:E14"/>
    <mergeCell ref="D11:E11"/>
    <mergeCell ref="D12:E12"/>
    <mergeCell ref="D7:E7"/>
    <mergeCell ref="D8:E8"/>
    <mergeCell ref="A1:E1"/>
    <mergeCell ref="D3:E3"/>
    <mergeCell ref="D4:E4"/>
    <mergeCell ref="A2:E2"/>
    <mergeCell ref="A6:E6"/>
  </mergeCells>
  <dataValidations count="5">
    <dataValidation type="list" allowBlank="1" showInputMessage="1" showErrorMessage="1" sqref="A4" xr:uid="{00000000-0002-0000-0200-000000000000}">
      <formula1>$O$4:$O$9</formula1>
    </dataValidation>
    <dataValidation type="list" allowBlank="1" showInputMessage="1" showErrorMessage="1" sqref="A8" xr:uid="{00000000-0002-0000-0200-000001000000}">
      <formula1>$O$12:$O$17</formula1>
    </dataValidation>
    <dataValidation type="list" allowBlank="1" showInputMessage="1" showErrorMessage="1" sqref="A12" xr:uid="{00000000-0002-0000-0200-000002000000}">
      <formula1>$O$20:$O$25</formula1>
    </dataValidation>
    <dataValidation type="list" allowBlank="1" showInputMessage="1" showErrorMessage="1" sqref="A16" xr:uid="{00000000-0002-0000-0200-000003000000}">
      <formula1>$O$28:$O$30</formula1>
    </dataValidation>
    <dataValidation type="list" allowBlank="1" showInputMessage="1" showErrorMessage="1" sqref="D16" xr:uid="{00000000-0002-0000-0200-000004000000}">
      <formula1>$T$28:$T$29</formula1>
    </dataValidation>
  </dataValidations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 Page</vt:lpstr>
      <vt:lpstr>Water Capacity</vt:lpstr>
      <vt:lpstr>Impact Fees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Biggs</dc:creator>
  <cp:lastModifiedBy>Adrian Biggs</cp:lastModifiedBy>
  <cp:lastPrinted>2020-01-10T21:15:21Z</cp:lastPrinted>
  <dcterms:created xsi:type="dcterms:W3CDTF">2019-03-06T20:12:18Z</dcterms:created>
  <dcterms:modified xsi:type="dcterms:W3CDTF">2021-01-29T19:00:06Z</dcterms:modified>
</cp:coreProperties>
</file>